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70" windowWidth="11175" windowHeight="6795" activeTab="0"/>
  </bookViews>
  <sheets>
    <sheet name="Kuva" sheetId="1" r:id="rId1"/>
    <sheet name="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<sst xmlns="http://schemas.openxmlformats.org/spreadsheetml/2006/main" count="31" uniqueCount="31">
  <si>
    <t>Kirjastojen kaukopalvelu 1983-2004</t>
  </si>
  <si>
    <t>Analyysia</t>
  </si>
  <si>
    <t>Vastaanotetut tilaukset</t>
  </si>
  <si>
    <t>MAX</t>
  </si>
  <si>
    <t>Osuus huipusta</t>
  </si>
  <si>
    <t>Helsingin yliopisto</t>
  </si>
  <si>
    <t>Helsingin yliopiston kirjasto</t>
  </si>
  <si>
    <t>HKKK</t>
  </si>
  <si>
    <t>Joensuun yliopisto</t>
  </si>
  <si>
    <t>JYK</t>
  </si>
  <si>
    <t>Kuopion yliopisto</t>
  </si>
  <si>
    <t>Lapin yliopisto</t>
  </si>
  <si>
    <t>Lappeenrannan teknillinen yliopisto</t>
  </si>
  <si>
    <t>OYK</t>
  </si>
  <si>
    <t>Svenska handelshögskolan</t>
  </si>
  <si>
    <t>Tampereen teknillinen yliopisto</t>
  </si>
  <si>
    <t>TaYK</t>
  </si>
  <si>
    <t>TKK</t>
  </si>
  <si>
    <t>Turun kauppakorkeakoulu</t>
  </si>
  <si>
    <t>TYK</t>
  </si>
  <si>
    <t>Vaasan tiedekirjasto Tritonia</t>
  </si>
  <si>
    <t>Åbo akademi</t>
  </si>
  <si>
    <t>Sibelius-Akatemia</t>
  </si>
  <si>
    <t>Taideteollinen korkeakoulu</t>
  </si>
  <si>
    <t>Teatterikorkeakoulu</t>
  </si>
  <si>
    <t>YHTEENSÄ</t>
  </si>
  <si>
    <t>Prosenttia</t>
  </si>
  <si>
    <t>% huipusta</t>
  </si>
  <si>
    <t>Terkko</t>
  </si>
  <si>
    <t>Yliopistokirjastot</t>
  </si>
  <si>
    <t>Varastokirjasto</t>
  </si>
</sst>
</file>

<file path=xl/styles.xml><?xml version="1.0" encoding="utf-8"?>
<styleSheet xmlns="http://schemas.openxmlformats.org/spreadsheetml/2006/main">
  <numFmts count="16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2"/>
      <name val="Times New Roman"/>
      <family val="0"/>
    </font>
    <font>
      <sz val="8"/>
      <name val="Times New Roman"/>
      <family val="0"/>
    </font>
    <font>
      <sz val="11.75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Yliopistokirjastot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Data!$B$4:$W$4</c:f>
              <c:numCache>
                <c:ptCount val="22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</c:numCache>
            </c:numRef>
          </c:cat>
          <c:val>
            <c:numRef>
              <c:f>Data!$B$25:$W$25</c:f>
              <c:numCache>
                <c:ptCount val="22"/>
                <c:pt idx="0">
                  <c:v>242847</c:v>
                </c:pt>
                <c:pt idx="1">
                  <c:v>246976</c:v>
                </c:pt>
                <c:pt idx="2">
                  <c:v>270113</c:v>
                </c:pt>
                <c:pt idx="3">
                  <c:v>258367</c:v>
                </c:pt>
                <c:pt idx="4">
                  <c:v>270868</c:v>
                </c:pt>
                <c:pt idx="5">
                  <c:v>291659</c:v>
                </c:pt>
                <c:pt idx="6">
                  <c:v>284519</c:v>
                </c:pt>
                <c:pt idx="7">
                  <c:v>284623</c:v>
                </c:pt>
                <c:pt idx="8">
                  <c:v>286759</c:v>
                </c:pt>
                <c:pt idx="9">
                  <c:v>281108</c:v>
                </c:pt>
                <c:pt idx="10">
                  <c:v>208076</c:v>
                </c:pt>
                <c:pt idx="11">
                  <c:v>192987</c:v>
                </c:pt>
                <c:pt idx="12">
                  <c:v>196790</c:v>
                </c:pt>
                <c:pt idx="13">
                  <c:v>198197</c:v>
                </c:pt>
                <c:pt idx="14">
                  <c:v>195438</c:v>
                </c:pt>
                <c:pt idx="15">
                  <c:v>201036</c:v>
                </c:pt>
                <c:pt idx="16">
                  <c:v>187021</c:v>
                </c:pt>
                <c:pt idx="17">
                  <c:v>172081</c:v>
                </c:pt>
                <c:pt idx="18">
                  <c:v>152870</c:v>
                </c:pt>
                <c:pt idx="19">
                  <c:v>131484</c:v>
                </c:pt>
                <c:pt idx="20">
                  <c:v>104258</c:v>
                </c:pt>
                <c:pt idx="21">
                  <c:v>89462</c:v>
                </c:pt>
              </c:numCache>
            </c:numRef>
          </c:val>
        </c:ser>
        <c:ser>
          <c:idx val="1"/>
          <c:order val="1"/>
          <c:tx>
            <c:strRef>
              <c:f>Data!$A$30</c:f>
              <c:strCache>
                <c:ptCount val="1"/>
                <c:pt idx="0">
                  <c:v>Varastokirjasto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Data!$B$4:$W$4</c:f>
              <c:numCache>
                <c:ptCount val="22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</c:numCache>
            </c:numRef>
          </c:cat>
          <c:val>
            <c:numRef>
              <c:f>Data!$B$30:$W$30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86</c:v>
                </c:pt>
                <c:pt idx="8">
                  <c:v>879</c:v>
                </c:pt>
                <c:pt idx="9">
                  <c:v>3365</c:v>
                </c:pt>
                <c:pt idx="10">
                  <c:v>3887</c:v>
                </c:pt>
                <c:pt idx="11">
                  <c:v>5802</c:v>
                </c:pt>
                <c:pt idx="12">
                  <c:v>9355</c:v>
                </c:pt>
                <c:pt idx="13">
                  <c:v>21748</c:v>
                </c:pt>
                <c:pt idx="14">
                  <c:v>26605</c:v>
                </c:pt>
                <c:pt idx="15">
                  <c:v>30069</c:v>
                </c:pt>
                <c:pt idx="16">
                  <c:v>36902</c:v>
                </c:pt>
                <c:pt idx="17">
                  <c:v>42050</c:v>
                </c:pt>
                <c:pt idx="18">
                  <c:v>51608</c:v>
                </c:pt>
                <c:pt idx="19">
                  <c:v>52062</c:v>
                </c:pt>
                <c:pt idx="20">
                  <c:v>62942</c:v>
                </c:pt>
                <c:pt idx="21">
                  <c:v>67752</c:v>
                </c:pt>
              </c:numCache>
            </c:numRef>
          </c:val>
        </c:ser>
        <c:overlap val="100"/>
        <c:axId val="19658239"/>
        <c:axId val="42706424"/>
      </c:barChart>
      <c:catAx>
        <c:axId val="1965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06424"/>
        <c:crosses val="autoZero"/>
        <c:auto val="1"/>
        <c:lblOffset val="100"/>
        <c:noMultiLvlLbl val="0"/>
      </c:catAx>
      <c:valAx>
        <c:axId val="42706424"/>
        <c:scaling>
          <c:orientation val="minMax"/>
          <c:max val="3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58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workbookViewId="0" topLeftCell="A1">
      <selection activeCell="A14" sqref="A14"/>
    </sheetView>
  </sheetViews>
  <sheetFormatPr defaultColWidth="9.00390625" defaultRowHeight="15.75"/>
  <cols>
    <col min="1" max="1" width="29.50390625" style="0" customWidth="1"/>
    <col min="24" max="24" width="2.625" style="0" customWidth="1"/>
  </cols>
  <sheetData>
    <row r="1" ht="15.75">
      <c r="A1" t="s">
        <v>0</v>
      </c>
    </row>
    <row r="2" ht="15.75">
      <c r="Y2" t="s">
        <v>1</v>
      </c>
    </row>
    <row r="3" spans="1:2" ht="15.75">
      <c r="A3" t="s">
        <v>29</v>
      </c>
      <c r="B3" t="s">
        <v>2</v>
      </c>
    </row>
    <row r="4" spans="2:26" ht="15.75">
      <c r="B4">
        <v>1983</v>
      </c>
      <c r="C4">
        <f>B4+1</f>
        <v>1984</v>
      </c>
      <c r="D4">
        <f aca="true" t="shared" si="0" ref="D4:W4">C4+1</f>
        <v>1985</v>
      </c>
      <c r="E4">
        <f t="shared" si="0"/>
        <v>1986</v>
      </c>
      <c r="F4">
        <f t="shared" si="0"/>
        <v>1987</v>
      </c>
      <c r="G4">
        <f t="shared" si="0"/>
        <v>1988</v>
      </c>
      <c r="H4">
        <f t="shared" si="0"/>
        <v>1989</v>
      </c>
      <c r="I4">
        <f t="shared" si="0"/>
        <v>1990</v>
      </c>
      <c r="J4">
        <f t="shared" si="0"/>
        <v>1991</v>
      </c>
      <c r="K4">
        <f t="shared" si="0"/>
        <v>1992</v>
      </c>
      <c r="L4">
        <f t="shared" si="0"/>
        <v>1993</v>
      </c>
      <c r="M4">
        <f t="shared" si="0"/>
        <v>1994</v>
      </c>
      <c r="N4">
        <f t="shared" si="0"/>
        <v>1995</v>
      </c>
      <c r="O4">
        <f t="shared" si="0"/>
        <v>1996</v>
      </c>
      <c r="P4">
        <f t="shared" si="0"/>
        <v>1997</v>
      </c>
      <c r="Q4">
        <f t="shared" si="0"/>
        <v>1998</v>
      </c>
      <c r="R4">
        <f t="shared" si="0"/>
        <v>1999</v>
      </c>
      <c r="S4">
        <f t="shared" si="0"/>
        <v>2000</v>
      </c>
      <c r="T4">
        <f t="shared" si="0"/>
        <v>2001</v>
      </c>
      <c r="U4">
        <f t="shared" si="0"/>
        <v>2002</v>
      </c>
      <c r="V4">
        <f t="shared" si="0"/>
        <v>2003</v>
      </c>
      <c r="W4">
        <f t="shared" si="0"/>
        <v>2004</v>
      </c>
      <c r="Y4" t="s">
        <v>3</v>
      </c>
      <c r="Z4" t="s">
        <v>4</v>
      </c>
    </row>
    <row r="5" spans="1:26" ht="15.75">
      <c r="A5" t="s">
        <v>5</v>
      </c>
      <c r="B5">
        <f>109+5009+764+165+7476+7526+2560+217+1013+634+35434</f>
        <v>60907</v>
      </c>
      <c r="C5">
        <f>90500-C6+4014</f>
        <v>64855</v>
      </c>
      <c r="D5">
        <f>110484-D6+4683</f>
        <v>84930</v>
      </c>
      <c r="E5">
        <f>101889-E6+4836</f>
        <v>96080</v>
      </c>
      <c r="F5">
        <f>101997-F6+5546</f>
        <v>96505</v>
      </c>
      <c r="G5">
        <f>109424-G6+4636</f>
        <v>102847</v>
      </c>
      <c r="H5">
        <f>104339-H6+4701</f>
        <v>98168</v>
      </c>
      <c r="I5">
        <f>105044-I6+3955</f>
        <v>98034</v>
      </c>
      <c r="J5">
        <f>105892-J6+3344</f>
        <v>98224</v>
      </c>
      <c r="K5">
        <f>103870-K6+3004</f>
        <v>96077</v>
      </c>
      <c r="L5">
        <f>76336-L6+2380</f>
        <v>72039</v>
      </c>
      <c r="M5">
        <f>58186-M6+2377</f>
        <v>54167</v>
      </c>
      <c r="N5">
        <f>59572-N6+2034</f>
        <v>55275</v>
      </c>
      <c r="O5">
        <f>60035-O6</f>
        <v>53468</v>
      </c>
      <c r="P5">
        <f>60642-P6</f>
        <v>54232</v>
      </c>
      <c r="Q5">
        <f>58860-Q6</f>
        <v>53021</v>
      </c>
      <c r="R5">
        <f>60806-R6</f>
        <v>54963</v>
      </c>
      <c r="S5">
        <f>59344-S6</f>
        <v>53961</v>
      </c>
      <c r="T5">
        <f>54874-T6</f>
        <v>50045</v>
      </c>
      <c r="Y5">
        <f>MAX(B5:W5)</f>
        <v>102847</v>
      </c>
      <c r="Z5" s="1">
        <f>T5/Y5*100</f>
        <v>48.65965949420013</v>
      </c>
    </row>
    <row r="6" spans="1:26" ht="15.75">
      <c r="A6" t="s">
        <v>6</v>
      </c>
      <c r="B6">
        <f>13152+6640+7030</f>
        <v>26822</v>
      </c>
      <c r="C6">
        <f>14009+7049+8601</f>
        <v>29659</v>
      </c>
      <c r="D6">
        <f>13419+7798+9020</f>
        <v>30237</v>
      </c>
      <c r="E6">
        <v>10645</v>
      </c>
      <c r="F6">
        <v>11038</v>
      </c>
      <c r="G6">
        <v>11213</v>
      </c>
      <c r="H6">
        <v>10872</v>
      </c>
      <c r="I6">
        <v>10965</v>
      </c>
      <c r="J6">
        <v>11012</v>
      </c>
      <c r="K6">
        <v>10797</v>
      </c>
      <c r="L6">
        <v>6677</v>
      </c>
      <c r="M6">
        <v>6396</v>
      </c>
      <c r="N6">
        <v>6331</v>
      </c>
      <c r="O6">
        <v>6567</v>
      </c>
      <c r="P6">
        <v>6410</v>
      </c>
      <c r="Q6">
        <v>5839</v>
      </c>
      <c r="R6">
        <v>5843</v>
      </c>
      <c r="S6">
        <v>5383</v>
      </c>
      <c r="T6">
        <v>4829</v>
      </c>
      <c r="Y6">
        <v>11213</v>
      </c>
      <c r="Z6" s="1">
        <f aca="true" t="shared" si="1" ref="Z6:Z25">T6/Y6*100</f>
        <v>43.06608400963168</v>
      </c>
    </row>
    <row r="7" spans="1:26" ht="15.75">
      <c r="A7" t="s">
        <v>7</v>
      </c>
      <c r="B7">
        <v>8380</v>
      </c>
      <c r="C7">
        <v>8228</v>
      </c>
      <c r="D7">
        <v>8274</v>
      </c>
      <c r="E7">
        <v>9169</v>
      </c>
      <c r="F7">
        <v>10322</v>
      </c>
      <c r="G7">
        <v>11073</v>
      </c>
      <c r="H7">
        <v>11892</v>
      </c>
      <c r="I7">
        <v>11663</v>
      </c>
      <c r="J7">
        <v>11264</v>
      </c>
      <c r="K7">
        <v>10723</v>
      </c>
      <c r="L7">
        <v>6451</v>
      </c>
      <c r="M7">
        <v>6484</v>
      </c>
      <c r="N7">
        <v>7384</v>
      </c>
      <c r="O7">
        <v>7270</v>
      </c>
      <c r="P7">
        <v>6648</v>
      </c>
      <c r="Q7">
        <v>6100</v>
      </c>
      <c r="R7">
        <v>4900</v>
      </c>
      <c r="S7">
        <v>4212</v>
      </c>
      <c r="T7">
        <v>3637</v>
      </c>
      <c r="Y7">
        <f aca="true" t="shared" si="2" ref="Y7:Y24">MAX(B7:W7)</f>
        <v>11892</v>
      </c>
      <c r="Z7" s="1">
        <f t="shared" si="1"/>
        <v>30.58358560376724</v>
      </c>
    </row>
    <row r="8" spans="1:26" ht="15.75">
      <c r="A8" t="s">
        <v>8</v>
      </c>
      <c r="B8">
        <f>1936+71</f>
        <v>2007</v>
      </c>
      <c r="C8">
        <f>2745+112</f>
        <v>2857</v>
      </c>
      <c r="D8">
        <f>2800+117</f>
        <v>2917</v>
      </c>
      <c r="E8">
        <f>3377+104</f>
        <v>3481</v>
      </c>
      <c r="F8">
        <f>4012+173</f>
        <v>4185</v>
      </c>
      <c r="G8">
        <f>4540+255</f>
        <v>4795</v>
      </c>
      <c r="H8">
        <f>5576+338</f>
        <v>5914</v>
      </c>
      <c r="I8">
        <f>6420+461</f>
        <v>6881</v>
      </c>
      <c r="J8">
        <f>7356+452</f>
        <v>7808</v>
      </c>
      <c r="K8">
        <f>7580+544</f>
        <v>8124</v>
      </c>
      <c r="L8">
        <f>5249+394</f>
        <v>5643</v>
      </c>
      <c r="M8">
        <f>6946+393</f>
        <v>7339</v>
      </c>
      <c r="N8">
        <f>7573+488</f>
        <v>8061</v>
      </c>
      <c r="O8">
        <f>6772+571</f>
        <v>7343</v>
      </c>
      <c r="P8">
        <f>6815+598</f>
        <v>7413</v>
      </c>
      <c r="Q8">
        <f>6947+646</f>
        <v>7593</v>
      </c>
      <c r="R8">
        <f>6695+952</f>
        <v>7647</v>
      </c>
      <c r="S8">
        <f>6021+806</f>
        <v>6827</v>
      </c>
      <c r="T8">
        <f>5815+813</f>
        <v>6628</v>
      </c>
      <c r="Y8">
        <f t="shared" si="2"/>
        <v>8124</v>
      </c>
      <c r="Z8" s="1">
        <f t="shared" si="1"/>
        <v>81.58542589857213</v>
      </c>
    </row>
    <row r="9" spans="1:26" ht="15.75">
      <c r="A9" t="s">
        <v>9</v>
      </c>
      <c r="B9">
        <f>13349+71</f>
        <v>13420</v>
      </c>
      <c r="C9">
        <f>13587+190</f>
        <v>13777</v>
      </c>
      <c r="D9">
        <f>14500+288</f>
        <v>14788</v>
      </c>
      <c r="E9">
        <f>12329+203</f>
        <v>12532</v>
      </c>
      <c r="F9">
        <f>12901+309</f>
        <v>13210</v>
      </c>
      <c r="G9">
        <f>12917</f>
        <v>12917</v>
      </c>
      <c r="H9">
        <v>14269</v>
      </c>
      <c r="I9">
        <v>15340</v>
      </c>
      <c r="J9">
        <v>15585</v>
      </c>
      <c r="K9">
        <v>17710</v>
      </c>
      <c r="L9">
        <v>13125</v>
      </c>
      <c r="M9">
        <v>14192</v>
      </c>
      <c r="N9">
        <f>13256+42</f>
        <v>13298</v>
      </c>
      <c r="O9">
        <f>13138+303</f>
        <v>13441</v>
      </c>
      <c r="P9">
        <v>12663</v>
      </c>
      <c r="Q9">
        <f>19320+20</f>
        <v>19340</v>
      </c>
      <c r="R9">
        <f>11522+88</f>
        <v>11610</v>
      </c>
      <c r="S9">
        <f>11240+29</f>
        <v>11269</v>
      </c>
      <c r="T9">
        <f>11037+116</f>
        <v>11153</v>
      </c>
      <c r="Y9">
        <f t="shared" si="2"/>
        <v>19340</v>
      </c>
      <c r="Z9" s="1">
        <f t="shared" si="1"/>
        <v>57.66804550155119</v>
      </c>
    </row>
    <row r="10" spans="1:26" ht="15.75">
      <c r="A10" t="s">
        <v>10</v>
      </c>
      <c r="B10">
        <v>5700</v>
      </c>
      <c r="C10">
        <f>3973</f>
        <v>3973</v>
      </c>
      <c r="D10">
        <v>4288</v>
      </c>
      <c r="E10">
        <v>3420</v>
      </c>
      <c r="F10">
        <v>3778</v>
      </c>
      <c r="G10">
        <v>3561</v>
      </c>
      <c r="H10">
        <v>5685</v>
      </c>
      <c r="I10">
        <v>5165</v>
      </c>
      <c r="J10">
        <v>11160</v>
      </c>
      <c r="K10">
        <v>6369</v>
      </c>
      <c r="L10">
        <v>5719</v>
      </c>
      <c r="M10">
        <v>6116</v>
      </c>
      <c r="N10">
        <v>6565</v>
      </c>
      <c r="O10">
        <v>7218</v>
      </c>
      <c r="P10">
        <v>8279</v>
      </c>
      <c r="Q10">
        <v>8084</v>
      </c>
      <c r="R10">
        <v>7818</v>
      </c>
      <c r="S10">
        <v>6586</v>
      </c>
      <c r="T10">
        <v>5769</v>
      </c>
      <c r="Y10">
        <f t="shared" si="2"/>
        <v>11160</v>
      </c>
      <c r="Z10" s="1">
        <f t="shared" si="1"/>
        <v>51.693548387096776</v>
      </c>
    </row>
    <row r="11" spans="1:26" ht="15.75">
      <c r="A11" t="s">
        <v>11</v>
      </c>
      <c r="B11">
        <v>460</v>
      </c>
      <c r="C11">
        <v>555</v>
      </c>
      <c r="D11">
        <v>939</v>
      </c>
      <c r="E11">
        <v>1240</v>
      </c>
      <c r="F11">
        <v>1746</v>
      </c>
      <c r="G11">
        <v>2025</v>
      </c>
      <c r="H11">
        <v>2502</v>
      </c>
      <c r="I11">
        <v>2682</v>
      </c>
      <c r="J11">
        <v>4195</v>
      </c>
      <c r="K11">
        <v>3840</v>
      </c>
      <c r="L11">
        <v>2195</v>
      </c>
      <c r="M11">
        <v>2702</v>
      </c>
      <c r="N11">
        <v>2613</v>
      </c>
      <c r="O11">
        <v>2390</v>
      </c>
      <c r="P11">
        <v>2114</v>
      </c>
      <c r="Q11">
        <v>2418</v>
      </c>
      <c r="R11">
        <v>2623</v>
      </c>
      <c r="S11">
        <v>2307</v>
      </c>
      <c r="T11">
        <v>2240</v>
      </c>
      <c r="Y11">
        <f t="shared" si="2"/>
        <v>4195</v>
      </c>
      <c r="Z11" s="1">
        <f t="shared" si="1"/>
        <v>53.3969010727056</v>
      </c>
    </row>
    <row r="12" spans="1:26" ht="15.75">
      <c r="A12" t="s">
        <v>12</v>
      </c>
      <c r="B12">
        <v>2235</v>
      </c>
      <c r="C12">
        <v>2395</v>
      </c>
      <c r="D12">
        <v>2450</v>
      </c>
      <c r="E12">
        <v>2562</v>
      </c>
      <c r="F12">
        <v>3088</v>
      </c>
      <c r="G12">
        <v>2919</v>
      </c>
      <c r="H12">
        <v>2856</v>
      </c>
      <c r="I12">
        <v>3200</v>
      </c>
      <c r="J12">
        <v>3285</v>
      </c>
      <c r="K12">
        <v>3326</v>
      </c>
      <c r="L12">
        <v>2245</v>
      </c>
      <c r="M12">
        <v>2589</v>
      </c>
      <c r="N12">
        <v>2707</v>
      </c>
      <c r="O12">
        <v>2422</v>
      </c>
      <c r="P12">
        <v>2242</v>
      </c>
      <c r="Q12">
        <v>2624</v>
      </c>
      <c r="R12">
        <v>2441</v>
      </c>
      <c r="S12">
        <v>2232</v>
      </c>
      <c r="T12">
        <v>2427</v>
      </c>
      <c r="Y12">
        <f t="shared" si="2"/>
        <v>3326</v>
      </c>
      <c r="Z12" s="1">
        <f t="shared" si="1"/>
        <v>72.97053517739026</v>
      </c>
    </row>
    <row r="13" spans="1:26" ht="15.75">
      <c r="A13" t="s">
        <v>13</v>
      </c>
      <c r="B13">
        <f>6365+5057</f>
        <v>11422</v>
      </c>
      <c r="C13">
        <f>7044+4517</f>
        <v>11561</v>
      </c>
      <c r="D13">
        <f>7492+4754</f>
        <v>12246</v>
      </c>
      <c r="E13">
        <f>7531+4652</f>
        <v>12183</v>
      </c>
      <c r="F13">
        <f>6421+4693</f>
        <v>11114</v>
      </c>
      <c r="G13">
        <f>8727+6456</f>
        <v>15183</v>
      </c>
      <c r="H13">
        <f>9870+5832</f>
        <v>15702</v>
      </c>
      <c r="I13">
        <f>11130+6466</f>
        <v>17596</v>
      </c>
      <c r="J13">
        <f>12397+6169</f>
        <v>18566</v>
      </c>
      <c r="K13">
        <f>14604+6706</f>
        <v>21310</v>
      </c>
      <c r="L13">
        <f>8467+4406</f>
        <v>12873</v>
      </c>
      <c r="M13">
        <f>10610+4317</f>
        <v>14927</v>
      </c>
      <c r="N13">
        <f>10685+3938</f>
        <v>14623</v>
      </c>
      <c r="O13">
        <f>12572+4110</f>
        <v>16682</v>
      </c>
      <c r="P13">
        <f>13024+4442</f>
        <v>17466</v>
      </c>
      <c r="Q13">
        <f>14684+4252</f>
        <v>18936</v>
      </c>
      <c r="R13">
        <f>12729+4386</f>
        <v>17115</v>
      </c>
      <c r="S13">
        <f>13664+4206</f>
        <v>17870</v>
      </c>
      <c r="T13">
        <f>11094+3450</f>
        <v>14544</v>
      </c>
      <c r="Y13">
        <f t="shared" si="2"/>
        <v>21310</v>
      </c>
      <c r="Z13" s="1">
        <f t="shared" si="1"/>
        <v>68.24964805255749</v>
      </c>
    </row>
    <row r="14" spans="1:26" ht="15.75">
      <c r="A14" t="s">
        <v>14</v>
      </c>
      <c r="B14">
        <v>1154</v>
      </c>
      <c r="C14">
        <f>1040</f>
        <v>1040</v>
      </c>
      <c r="D14">
        <v>936</v>
      </c>
      <c r="E14">
        <v>1004</v>
      </c>
      <c r="F14">
        <v>1176</v>
      </c>
      <c r="G14">
        <v>1084</v>
      </c>
      <c r="H14">
        <v>1036</v>
      </c>
      <c r="I14">
        <v>1323</v>
      </c>
      <c r="J14">
        <v>1741</v>
      </c>
      <c r="K14">
        <v>922</v>
      </c>
      <c r="L14">
        <v>681</v>
      </c>
      <c r="M14">
        <v>558</v>
      </c>
      <c r="N14">
        <v>525</v>
      </c>
      <c r="O14">
        <v>550</v>
      </c>
      <c r="P14">
        <v>476</v>
      </c>
      <c r="Q14">
        <v>504</v>
      </c>
      <c r="R14">
        <v>442</v>
      </c>
      <c r="S14">
        <v>552</v>
      </c>
      <c r="T14">
        <v>532</v>
      </c>
      <c r="Y14">
        <f t="shared" si="2"/>
        <v>1741</v>
      </c>
      <c r="Z14" s="1">
        <f t="shared" si="1"/>
        <v>30.557151062607694</v>
      </c>
    </row>
    <row r="15" spans="1:26" ht="15.75">
      <c r="A15" t="s">
        <v>15</v>
      </c>
      <c r="B15">
        <v>4479</v>
      </c>
      <c r="C15">
        <v>5164</v>
      </c>
      <c r="D15">
        <v>5622</v>
      </c>
      <c r="E15">
        <v>5478</v>
      </c>
      <c r="F15">
        <v>5874</v>
      </c>
      <c r="G15">
        <v>5351</v>
      </c>
      <c r="H15">
        <v>5398</v>
      </c>
      <c r="I15">
        <v>5134</v>
      </c>
      <c r="J15">
        <v>5066</v>
      </c>
      <c r="K15">
        <v>4919</v>
      </c>
      <c r="L15">
        <v>3351</v>
      </c>
      <c r="M15">
        <v>3166</v>
      </c>
      <c r="N15">
        <v>3269</v>
      </c>
      <c r="O15">
        <v>3472</v>
      </c>
      <c r="P15">
        <v>3486</v>
      </c>
      <c r="Q15">
        <v>3876</v>
      </c>
      <c r="R15">
        <v>3118</v>
      </c>
      <c r="S15">
        <v>2436</v>
      </c>
      <c r="T15">
        <v>2096</v>
      </c>
      <c r="Y15">
        <f t="shared" si="2"/>
        <v>5874</v>
      </c>
      <c r="Z15" s="1">
        <f t="shared" si="1"/>
        <v>35.68266939053456</v>
      </c>
    </row>
    <row r="16" spans="1:26" ht="15.75">
      <c r="A16" t="s">
        <v>16</v>
      </c>
      <c r="B16">
        <f>6789+6356</f>
        <v>13145</v>
      </c>
      <c r="C16">
        <f>5582+6667</f>
        <v>12249</v>
      </c>
      <c r="D16">
        <f>6109+7363</f>
        <v>13472</v>
      </c>
      <c r="E16">
        <f>5786+6588</f>
        <v>12374</v>
      </c>
      <c r="F16">
        <f>6985+7800</f>
        <v>14785</v>
      </c>
      <c r="G16">
        <f>8451+7702</f>
        <v>16153</v>
      </c>
      <c r="H16">
        <f>9210+7497</f>
        <v>16707</v>
      </c>
      <c r="I16">
        <f>9477+8296</f>
        <v>17773</v>
      </c>
      <c r="J16">
        <f>10401+9729</f>
        <v>20130</v>
      </c>
      <c r="K16">
        <f>11720+10083</f>
        <v>21803</v>
      </c>
      <c r="L16">
        <f>8075+8275</f>
        <v>16350</v>
      </c>
      <c r="M16">
        <f>8889+8950</f>
        <v>17839</v>
      </c>
      <c r="N16">
        <f>8691+8134</f>
        <v>16825</v>
      </c>
      <c r="O16">
        <f>8264+8212</f>
        <v>16476</v>
      </c>
      <c r="P16">
        <f>6774+8479</f>
        <v>15253</v>
      </c>
      <c r="Q16">
        <f>6620+7820</f>
        <v>14440</v>
      </c>
      <c r="R16">
        <f>6596+7240</f>
        <v>13836</v>
      </c>
      <c r="S16">
        <f>5597+6444</f>
        <v>12041</v>
      </c>
      <c r="T16">
        <f>4915+5089</f>
        <v>10004</v>
      </c>
      <c r="Y16">
        <f t="shared" si="2"/>
        <v>21803</v>
      </c>
      <c r="Z16" s="1">
        <f t="shared" si="1"/>
        <v>45.883594000825575</v>
      </c>
    </row>
    <row r="17" spans="1:26" ht="15.75">
      <c r="A17" t="s">
        <v>17</v>
      </c>
      <c r="B17">
        <f>51814+1969</f>
        <v>53783</v>
      </c>
      <c r="C17">
        <v>50603</v>
      </c>
      <c r="D17">
        <f>49938+1595</f>
        <v>51533</v>
      </c>
      <c r="E17">
        <f>48203+2347</f>
        <v>50550</v>
      </c>
      <c r="F17">
        <f>51457+2769</f>
        <v>54226</v>
      </c>
      <c r="G17">
        <v>57992</v>
      </c>
      <c r="H17">
        <v>48901</v>
      </c>
      <c r="I17">
        <v>48256</v>
      </c>
      <c r="J17">
        <v>37515</v>
      </c>
      <c r="K17">
        <v>34865</v>
      </c>
      <c r="L17">
        <v>31166</v>
      </c>
      <c r="M17">
        <v>28939</v>
      </c>
      <c r="N17">
        <v>30909</v>
      </c>
      <c r="O17">
        <v>31570</v>
      </c>
      <c r="P17">
        <v>30482</v>
      </c>
      <c r="Q17">
        <v>30083</v>
      </c>
      <c r="R17">
        <v>25765</v>
      </c>
      <c r="S17">
        <v>22571</v>
      </c>
      <c r="T17">
        <v>17805</v>
      </c>
      <c r="Y17">
        <f t="shared" si="2"/>
        <v>57992</v>
      </c>
      <c r="Z17" s="1">
        <f t="shared" si="1"/>
        <v>30.70251069112981</v>
      </c>
    </row>
    <row r="18" spans="1:26" ht="15.75">
      <c r="A18" t="s">
        <v>18</v>
      </c>
      <c r="B18">
        <v>1743</v>
      </c>
      <c r="C18">
        <v>1431</v>
      </c>
      <c r="D18">
        <v>1773</v>
      </c>
      <c r="E18">
        <v>1731</v>
      </c>
      <c r="F18">
        <v>2054</v>
      </c>
      <c r="G18">
        <v>2107</v>
      </c>
      <c r="H18">
        <v>2137</v>
      </c>
      <c r="I18">
        <v>2230</v>
      </c>
      <c r="J18">
        <v>2513</v>
      </c>
      <c r="K18">
        <v>2549</v>
      </c>
      <c r="L18">
        <v>1845</v>
      </c>
      <c r="M18">
        <v>1992</v>
      </c>
      <c r="N18">
        <v>2053</v>
      </c>
      <c r="O18">
        <v>2188</v>
      </c>
      <c r="P18">
        <v>2002</v>
      </c>
      <c r="Q18">
        <v>2191</v>
      </c>
      <c r="R18">
        <v>2415</v>
      </c>
      <c r="S18">
        <v>1625</v>
      </c>
      <c r="T18">
        <v>1627</v>
      </c>
      <c r="Y18">
        <f t="shared" si="2"/>
        <v>2549</v>
      </c>
      <c r="Z18" s="1">
        <f t="shared" si="1"/>
        <v>63.82895253040408</v>
      </c>
    </row>
    <row r="19" spans="1:26" ht="15.75">
      <c r="A19" t="s">
        <v>19</v>
      </c>
      <c r="B19">
        <f>13439+9255</f>
        <v>22694</v>
      </c>
      <c r="C19">
        <f>13252+11695</f>
        <v>24947</v>
      </c>
      <c r="D19">
        <f>12243+10945</f>
        <v>23188</v>
      </c>
      <c r="E19">
        <f>11744+11945</f>
        <v>23689</v>
      </c>
      <c r="F19">
        <f>13571+11254</f>
        <v>24825</v>
      </c>
      <c r="G19">
        <f>14142+16094+42</f>
        <v>30278</v>
      </c>
      <c r="H19">
        <f>15078+14500</f>
        <v>29578</v>
      </c>
      <c r="I19">
        <f>12824+12086</f>
        <v>24910</v>
      </c>
      <c r="J19">
        <f>12128+12880</f>
        <v>25008</v>
      </c>
      <c r="K19">
        <f>10968+12141</f>
        <v>23109</v>
      </c>
      <c r="L19">
        <f>6616+10694</f>
        <v>17310</v>
      </c>
      <c r="M19">
        <f>7465+7941</f>
        <v>15406</v>
      </c>
      <c r="N19">
        <f>7736+6758</f>
        <v>14494</v>
      </c>
      <c r="O19">
        <f>7811+6082</f>
        <v>13893</v>
      </c>
      <c r="P19">
        <f>7627+6105</f>
        <v>13732</v>
      </c>
      <c r="Q19">
        <f>7593+6380</f>
        <v>13973</v>
      </c>
      <c r="R19">
        <f>7503+5857</f>
        <v>13360</v>
      </c>
      <c r="S19">
        <f>5186+5762</f>
        <v>10948</v>
      </c>
      <c r="T19">
        <f>5228+4305</f>
        <v>9533</v>
      </c>
      <c r="Y19">
        <f t="shared" si="2"/>
        <v>30278</v>
      </c>
      <c r="Z19" s="1">
        <f t="shared" si="1"/>
        <v>31.484906532796092</v>
      </c>
    </row>
    <row r="20" spans="1:26" ht="15.75">
      <c r="A20" t="s">
        <v>20</v>
      </c>
      <c r="B20">
        <v>1088</v>
      </c>
      <c r="C20">
        <v>1084</v>
      </c>
      <c r="D20">
        <v>1040</v>
      </c>
      <c r="E20">
        <v>1242</v>
      </c>
      <c r="F20">
        <v>1499</v>
      </c>
      <c r="G20">
        <v>1445</v>
      </c>
      <c r="H20">
        <v>1608</v>
      </c>
      <c r="I20">
        <v>1979</v>
      </c>
      <c r="J20">
        <v>2233</v>
      </c>
      <c r="K20">
        <v>2480</v>
      </c>
      <c r="L20">
        <v>1407</v>
      </c>
      <c r="M20">
        <v>0</v>
      </c>
      <c r="N20">
        <v>2133</v>
      </c>
      <c r="O20">
        <v>2373</v>
      </c>
      <c r="P20">
        <v>2381</v>
      </c>
      <c r="Q20">
        <v>2211</v>
      </c>
      <c r="R20">
        <v>2599</v>
      </c>
      <c r="S20">
        <v>2107</v>
      </c>
      <c r="T20">
        <f>843+992</f>
        <v>1835</v>
      </c>
      <c r="Y20">
        <f t="shared" si="2"/>
        <v>2599</v>
      </c>
      <c r="Z20" s="1">
        <f t="shared" si="1"/>
        <v>70.60407849172759</v>
      </c>
    </row>
    <row r="21" spans="1:26" ht="15.75">
      <c r="A21" t="s">
        <v>21</v>
      </c>
      <c r="B21">
        <f>11932+669</f>
        <v>12601</v>
      </c>
      <c r="C21">
        <f>11078+347</f>
        <v>11425</v>
      </c>
      <c r="D21">
        <f>10020+566</f>
        <v>10586</v>
      </c>
      <c r="E21">
        <f>9281+676</f>
        <v>9957</v>
      </c>
      <c r="F21">
        <f>9749+500</f>
        <v>10249</v>
      </c>
      <c r="G21">
        <f>9130+344</f>
        <v>9474</v>
      </c>
      <c r="H21">
        <f>9066+970</f>
        <v>10036</v>
      </c>
      <c r="I21">
        <f>9116+1000</f>
        <v>10116</v>
      </c>
      <c r="J21">
        <f>9310+594</f>
        <v>9904</v>
      </c>
      <c r="K21">
        <f>9430+1366</f>
        <v>10796</v>
      </c>
      <c r="L21">
        <f>6517+1241</f>
        <v>7758</v>
      </c>
      <c r="M21">
        <f>7056+1623</f>
        <v>8679</v>
      </c>
      <c r="N21">
        <f>6855+1489</f>
        <v>8344</v>
      </c>
      <c r="O21">
        <f>7048+1827</f>
        <v>8875</v>
      </c>
      <c r="P21">
        <f>6685+1694</f>
        <v>8379</v>
      </c>
      <c r="Q21">
        <f>6306+1925</f>
        <v>8231</v>
      </c>
      <c r="R21">
        <f>5727+3322</f>
        <v>9049</v>
      </c>
      <c r="S21">
        <f>5376+2552</f>
        <v>7928</v>
      </c>
      <c r="T21">
        <f>4755+2267</f>
        <v>7022</v>
      </c>
      <c r="Y21">
        <f t="shared" si="2"/>
        <v>12601</v>
      </c>
      <c r="Z21" s="1">
        <f t="shared" si="1"/>
        <v>55.72573605269423</v>
      </c>
    </row>
    <row r="22" spans="1:26" ht="15.75">
      <c r="A22" t="s">
        <v>22</v>
      </c>
      <c r="B22">
        <v>83</v>
      </c>
      <c r="C22">
        <v>206</v>
      </c>
      <c r="D22">
        <v>263</v>
      </c>
      <c r="E22">
        <v>273</v>
      </c>
      <c r="F22">
        <v>289</v>
      </c>
      <c r="G22">
        <v>339</v>
      </c>
      <c r="H22">
        <v>426</v>
      </c>
      <c r="I22">
        <v>462</v>
      </c>
      <c r="J22">
        <v>648</v>
      </c>
      <c r="K22">
        <v>516</v>
      </c>
      <c r="L22">
        <v>670</v>
      </c>
      <c r="M22">
        <v>685</v>
      </c>
      <c r="N22">
        <v>598</v>
      </c>
      <c r="O22">
        <v>1050</v>
      </c>
      <c r="P22">
        <v>920</v>
      </c>
      <c r="Q22">
        <v>850</v>
      </c>
      <c r="R22">
        <v>868</v>
      </c>
      <c r="S22">
        <v>802</v>
      </c>
      <c r="T22">
        <v>722</v>
      </c>
      <c r="Y22">
        <f t="shared" si="2"/>
        <v>1050</v>
      </c>
      <c r="Z22" s="1">
        <f t="shared" si="1"/>
        <v>68.76190476190476</v>
      </c>
    </row>
    <row r="23" spans="1:26" ht="15.75">
      <c r="A23" t="s">
        <v>23</v>
      </c>
      <c r="B23">
        <v>425</v>
      </c>
      <c r="C23">
        <v>682</v>
      </c>
      <c r="D23">
        <v>431</v>
      </c>
      <c r="E23">
        <v>515</v>
      </c>
      <c r="F23">
        <v>672</v>
      </c>
      <c r="G23">
        <v>670</v>
      </c>
      <c r="H23">
        <v>659</v>
      </c>
      <c r="I23">
        <v>749</v>
      </c>
      <c r="J23">
        <v>692</v>
      </c>
      <c r="K23">
        <v>682</v>
      </c>
      <c r="L23">
        <v>457</v>
      </c>
      <c r="M23">
        <v>611</v>
      </c>
      <c r="N23">
        <v>613</v>
      </c>
      <c r="O23">
        <v>773</v>
      </c>
      <c r="P23">
        <v>706</v>
      </c>
      <c r="Q23">
        <v>626</v>
      </c>
      <c r="R23">
        <v>470</v>
      </c>
      <c r="S23">
        <v>347</v>
      </c>
      <c r="T23">
        <v>337</v>
      </c>
      <c r="Y23">
        <f t="shared" si="2"/>
        <v>773</v>
      </c>
      <c r="Z23" s="1">
        <f t="shared" si="1"/>
        <v>43.59637774902975</v>
      </c>
    </row>
    <row r="24" spans="1:26" ht="15.75">
      <c r="A24" t="s">
        <v>24</v>
      </c>
      <c r="B24">
        <v>299</v>
      </c>
      <c r="C24">
        <v>285</v>
      </c>
      <c r="D24">
        <v>200</v>
      </c>
      <c r="E24">
        <v>242</v>
      </c>
      <c r="F24">
        <v>233</v>
      </c>
      <c r="G24">
        <v>233</v>
      </c>
      <c r="H24">
        <v>173</v>
      </c>
      <c r="I24">
        <v>165</v>
      </c>
      <c r="J24">
        <v>210</v>
      </c>
      <c r="K24">
        <v>191</v>
      </c>
      <c r="L24">
        <v>114</v>
      </c>
      <c r="M24">
        <v>200</v>
      </c>
      <c r="N24">
        <v>170</v>
      </c>
      <c r="O24">
        <v>176</v>
      </c>
      <c r="P24">
        <v>154</v>
      </c>
      <c r="Q24">
        <v>96</v>
      </c>
      <c r="R24">
        <v>139</v>
      </c>
      <c r="S24">
        <v>77</v>
      </c>
      <c r="T24">
        <v>85</v>
      </c>
      <c r="Y24">
        <f t="shared" si="2"/>
        <v>299</v>
      </c>
      <c r="Z24" s="1">
        <f t="shared" si="1"/>
        <v>28.428093645484946</v>
      </c>
    </row>
    <row r="25" spans="1:26" ht="15.75">
      <c r="A25" t="s">
        <v>25</v>
      </c>
      <c r="B25">
        <f>SUM(B5:B24)</f>
        <v>242847</v>
      </c>
      <c r="C25">
        <f aca="true" t="shared" si="3" ref="C25:T25">SUM(C5:C24)</f>
        <v>246976</v>
      </c>
      <c r="D25">
        <f t="shared" si="3"/>
        <v>270113</v>
      </c>
      <c r="E25">
        <f t="shared" si="3"/>
        <v>258367</v>
      </c>
      <c r="F25">
        <f t="shared" si="3"/>
        <v>270868</v>
      </c>
      <c r="G25">
        <f t="shared" si="3"/>
        <v>291659</v>
      </c>
      <c r="H25">
        <f t="shared" si="3"/>
        <v>284519</v>
      </c>
      <c r="I25">
        <f t="shared" si="3"/>
        <v>284623</v>
      </c>
      <c r="J25">
        <f t="shared" si="3"/>
        <v>286759</v>
      </c>
      <c r="K25">
        <f t="shared" si="3"/>
        <v>281108</v>
      </c>
      <c r="L25">
        <f t="shared" si="3"/>
        <v>208076</v>
      </c>
      <c r="M25">
        <f t="shared" si="3"/>
        <v>192987</v>
      </c>
      <c r="N25">
        <f t="shared" si="3"/>
        <v>196790</v>
      </c>
      <c r="O25">
        <f t="shared" si="3"/>
        <v>198197</v>
      </c>
      <c r="P25">
        <f t="shared" si="3"/>
        <v>195438</v>
      </c>
      <c r="Q25">
        <f t="shared" si="3"/>
        <v>201036</v>
      </c>
      <c r="R25">
        <f t="shared" si="3"/>
        <v>187021</v>
      </c>
      <c r="S25">
        <f t="shared" si="3"/>
        <v>172081</v>
      </c>
      <c r="T25">
        <f t="shared" si="3"/>
        <v>152870</v>
      </c>
      <c r="U25">
        <f>118198+13286</f>
        <v>131484</v>
      </c>
      <c r="V25">
        <f>93455+10803</f>
        <v>104258</v>
      </c>
      <c r="W25">
        <f>81756+7706</f>
        <v>89462</v>
      </c>
      <c r="Y25">
        <f>MAX(B25:V25)</f>
        <v>291659</v>
      </c>
      <c r="Z25" s="1">
        <f t="shared" si="1"/>
        <v>52.41394916666381</v>
      </c>
    </row>
    <row r="26" spans="1:24" ht="15.75">
      <c r="A26" t="s">
        <v>26</v>
      </c>
      <c r="B26" s="1">
        <f>B25/$G$25*100</f>
        <v>83.26401722559564</v>
      </c>
      <c r="C26" s="1">
        <f aca="true" t="shared" si="4" ref="C26:W26">C25/$G$25*100</f>
        <v>84.67971158099013</v>
      </c>
      <c r="D26" s="1">
        <f t="shared" si="4"/>
        <v>92.61260581706719</v>
      </c>
      <c r="E26" s="1">
        <f t="shared" si="4"/>
        <v>88.585299956456</v>
      </c>
      <c r="F26" s="1">
        <f t="shared" si="4"/>
        <v>92.87146976434809</v>
      </c>
      <c r="G26" s="1">
        <f t="shared" si="4"/>
        <v>100</v>
      </c>
      <c r="H26" s="1">
        <f t="shared" si="4"/>
        <v>97.55193565087995</v>
      </c>
      <c r="I26" s="1">
        <f t="shared" si="4"/>
        <v>97.58759373103521</v>
      </c>
      <c r="J26" s="1">
        <f t="shared" si="4"/>
        <v>98.31995583883919</v>
      </c>
      <c r="K26" s="1">
        <f t="shared" si="4"/>
        <v>96.38241919501884</v>
      </c>
      <c r="L26" s="1">
        <f t="shared" si="4"/>
        <v>71.34221813830534</v>
      </c>
      <c r="M26" s="1">
        <f t="shared" si="4"/>
        <v>66.16871072039608</v>
      </c>
      <c r="N26" s="1">
        <f t="shared" si="4"/>
        <v>67.47263070915007</v>
      </c>
      <c r="O26" s="1">
        <f t="shared" si="4"/>
        <v>67.95504338971196</v>
      </c>
      <c r="P26" s="1">
        <f t="shared" si="4"/>
        <v>67.00907566713182</v>
      </c>
      <c r="Q26" s="1">
        <f t="shared" si="4"/>
        <v>68.92844040471921</v>
      </c>
      <c r="R26" s="1">
        <f t="shared" si="4"/>
        <v>64.12317123764396</v>
      </c>
      <c r="S26" s="1">
        <f t="shared" si="4"/>
        <v>59.00075087688019</v>
      </c>
      <c r="T26" s="1">
        <f t="shared" si="4"/>
        <v>52.41394916666381</v>
      </c>
      <c r="U26" s="1">
        <f t="shared" si="4"/>
        <v>45.08141356858523</v>
      </c>
      <c r="V26" s="1">
        <f t="shared" si="4"/>
        <v>35.74653962332724</v>
      </c>
      <c r="W26" s="1">
        <f t="shared" si="4"/>
        <v>30.673491988932284</v>
      </c>
      <c r="X26" t="s">
        <v>27</v>
      </c>
    </row>
    <row r="28" spans="1:20" ht="15.75">
      <c r="A28" t="s">
        <v>28</v>
      </c>
      <c r="B28">
        <v>35434</v>
      </c>
      <c r="C28">
        <v>37447</v>
      </c>
      <c r="D28">
        <v>43179</v>
      </c>
      <c r="E28">
        <v>42424</v>
      </c>
      <c r="F28">
        <v>37600</v>
      </c>
      <c r="G28">
        <v>43879</v>
      </c>
      <c r="H28">
        <v>39153</v>
      </c>
      <c r="I28">
        <v>41015</v>
      </c>
      <c r="J28">
        <v>40801</v>
      </c>
      <c r="K28">
        <v>41820</v>
      </c>
      <c r="L28">
        <v>35144</v>
      </c>
      <c r="M28">
        <v>26061</v>
      </c>
      <c r="N28">
        <v>27805</v>
      </c>
      <c r="O28">
        <v>26537</v>
      </c>
      <c r="P28">
        <v>27140</v>
      </c>
      <c r="Q28">
        <v>25913</v>
      </c>
      <c r="R28">
        <v>28214</v>
      </c>
      <c r="S28">
        <v>28055</v>
      </c>
      <c r="T28">
        <v>29380</v>
      </c>
    </row>
    <row r="29" spans="18:20" ht="15.75">
      <c r="R29">
        <f>12163+590</f>
        <v>12753</v>
      </c>
      <c r="S29">
        <f>12820+453</f>
        <v>13273</v>
      </c>
      <c r="T29">
        <f>9442+274</f>
        <v>9716</v>
      </c>
    </row>
    <row r="30" spans="1:23" ht="15.75">
      <c r="A30" t="s">
        <v>30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86</v>
      </c>
      <c r="J30">
        <v>879</v>
      </c>
      <c r="K30">
        <v>3365</v>
      </c>
      <c r="L30">
        <v>3887</v>
      </c>
      <c r="M30">
        <v>5802</v>
      </c>
      <c r="N30">
        <v>9355</v>
      </c>
      <c r="O30">
        <v>21748</v>
      </c>
      <c r="P30">
        <v>26605</v>
      </c>
      <c r="Q30">
        <v>30069</v>
      </c>
      <c r="R30">
        <v>36902</v>
      </c>
      <c r="S30">
        <v>42050</v>
      </c>
      <c r="T30">
        <v>51608</v>
      </c>
      <c r="U30">
        <v>52062</v>
      </c>
      <c r="V30">
        <v>62942</v>
      </c>
      <c r="W30">
        <v>67752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 Muhonen</dc:creator>
  <cp:keywords/>
  <dc:description/>
  <cp:lastModifiedBy>heinemann</cp:lastModifiedBy>
  <dcterms:created xsi:type="dcterms:W3CDTF">2006-11-21T14:40:39Z</dcterms:created>
  <dcterms:modified xsi:type="dcterms:W3CDTF">2006-11-21T14:55:08Z</dcterms:modified>
  <cp:category/>
  <cp:version/>
  <cp:contentType/>
  <cp:contentStatus/>
</cp:coreProperties>
</file>